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0029bfedca359f/Documents/"/>
    </mc:Choice>
  </mc:AlternateContent>
  <xr:revisionPtr revIDLastSave="159" documentId="8_{D8F86BA5-8F64-47DA-9856-E89B75DE4B1A}" xr6:coauthVersionLast="47" xr6:coauthVersionMax="47" xr10:uidLastSave="{D2E9A3B3-B0F5-430A-8206-B85A034323DE}"/>
  <bookViews>
    <workbookView xWindow="-108" yWindow="-108" windowWidth="23256" windowHeight="12456" xr2:uid="{426760F6-4209-4F5A-A230-E0831AB736C0}"/>
  </bookViews>
  <sheets>
    <sheet name="Laptop" sheetId="1" r:id="rId1"/>
    <sheet name="Mob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3" i="2"/>
  <c r="O13" i="2"/>
  <c r="N13" i="2"/>
  <c r="M13" i="2"/>
  <c r="L13" i="2"/>
  <c r="K13" i="2"/>
  <c r="J13" i="2"/>
  <c r="Q12" i="2"/>
  <c r="P12" i="2"/>
  <c r="O12" i="2"/>
  <c r="N12" i="2"/>
  <c r="M12" i="2"/>
  <c r="L12" i="2"/>
  <c r="K12" i="2"/>
  <c r="J12" i="2"/>
  <c r="Q10" i="2"/>
  <c r="P10" i="2"/>
  <c r="O10" i="2"/>
  <c r="N10" i="2"/>
  <c r="M10" i="2"/>
  <c r="L10" i="2"/>
  <c r="K10" i="2"/>
  <c r="J10" i="2"/>
  <c r="Q9" i="2"/>
  <c r="P9" i="2"/>
  <c r="O9" i="2"/>
  <c r="N9" i="2"/>
  <c r="M9" i="2"/>
  <c r="L9" i="2"/>
  <c r="K9" i="2"/>
  <c r="J9" i="2"/>
  <c r="I12" i="2"/>
  <c r="I9" i="2"/>
  <c r="I10" i="2"/>
  <c r="I13" i="2" s="1"/>
  <c r="H12" i="2"/>
  <c r="H9" i="2"/>
  <c r="H10" i="2"/>
  <c r="H13" i="2" s="1"/>
  <c r="G12" i="2"/>
  <c r="F12" i="2"/>
  <c r="E12" i="2"/>
  <c r="D12" i="2"/>
  <c r="C12" i="2"/>
  <c r="B12" i="2"/>
  <c r="I3" i="1"/>
  <c r="J3" i="1" s="1"/>
  <c r="M3" i="1" s="1"/>
  <c r="I4" i="1"/>
  <c r="I5" i="1"/>
  <c r="I6" i="1"/>
  <c r="I7" i="1"/>
  <c r="I8" i="1"/>
  <c r="J8" i="1"/>
  <c r="J6" i="1"/>
  <c r="M6" i="1" s="1"/>
  <c r="J5" i="1"/>
  <c r="G9" i="2"/>
  <c r="F9" i="2"/>
  <c r="F10" i="2" s="1"/>
  <c r="E9" i="2"/>
  <c r="E10" i="2" s="1"/>
  <c r="E13" i="2" s="1"/>
  <c r="D9" i="2"/>
  <c r="D10" i="2" s="1"/>
  <c r="D13" i="2" s="1"/>
  <c r="C9" i="2"/>
  <c r="B9" i="2"/>
  <c r="B10" i="2" s="1"/>
  <c r="C6" i="2"/>
  <c r="G2" i="2"/>
  <c r="B8" i="1"/>
  <c r="L8" i="1"/>
  <c r="L7" i="1"/>
  <c r="L3" i="1"/>
  <c r="L4" i="1"/>
  <c r="L5" i="1"/>
  <c r="L6" i="1"/>
  <c r="J7" i="1"/>
  <c r="M7" i="1" s="1"/>
  <c r="F4" i="1"/>
  <c r="F13" i="2" l="1"/>
  <c r="B13" i="2"/>
  <c r="C10" i="2"/>
  <c r="C13" i="2" s="1"/>
  <c r="G10" i="2"/>
  <c r="G13" i="2" s="1"/>
  <c r="J4" i="1"/>
  <c r="M4" i="1" s="1"/>
  <c r="M8" i="1"/>
  <c r="M5" i="1"/>
</calcChain>
</file>

<file path=xl/sharedStrings.xml><?xml version="1.0" encoding="utf-8"?>
<sst xmlns="http://schemas.openxmlformats.org/spreadsheetml/2006/main" count="47" uniqueCount="28">
  <si>
    <t>Term (Years)</t>
  </si>
  <si>
    <t>Interest (%)</t>
  </si>
  <si>
    <t>Monthly Payment ($)</t>
  </si>
  <si>
    <t>Weekly Payment ($)</t>
  </si>
  <si>
    <t>Bi-weekly Payment ($)</t>
  </si>
  <si>
    <t>Total Interest ($)</t>
  </si>
  <si>
    <t>List Price ($)</t>
  </si>
  <si>
    <t>Downpayment ($)</t>
  </si>
  <si>
    <t>Last Payment ($)</t>
  </si>
  <si>
    <t># of Payments</t>
  </si>
  <si>
    <t>Price Paid ($)</t>
  </si>
  <si>
    <t>Taxes ($)</t>
  </si>
  <si>
    <t>Description</t>
  </si>
  <si>
    <t>Enter either one of these 3 columns</t>
  </si>
  <si>
    <t>Name of the vehicle, Finance, Lease, etc.</t>
  </si>
  <si>
    <t>Any fees paid upfront. Or leave blank</t>
  </si>
  <si>
    <t>End of lease purchase price</t>
  </si>
  <si>
    <t>Informa-tional only</t>
  </si>
  <si>
    <t>MSRP. Plus fees</t>
  </si>
  <si>
    <t>Taxes if not included in the list price</t>
  </si>
  <si>
    <t>2023 4Runner Lease</t>
  </si>
  <si>
    <t>2023 4Runner Finance</t>
  </si>
  <si>
    <t>2024 COROLLA L CVT Lease</t>
  </si>
  <si>
    <t>2024 COROLLA L CVT Finance</t>
  </si>
  <si>
    <t>Total amount paid over the course of the loan</t>
  </si>
  <si>
    <t>Total Interest paid</t>
  </si>
  <si>
    <t>2023 
4Runner Finance</t>
  </si>
  <si>
    <t>2023 
4Runner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</si>
</sst>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2" applyFont="1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1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2" xfId="0" applyFont="1" applyBorder="1"/>
    <xf numFmtId="0" fontId="7" fillId="0" borderId="0" xfId="0" applyFont="1"/>
    <xf numFmtId="0" fontId="5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164" fontId="0" fillId="0" borderId="2" xfId="1" applyNumberFormat="1" applyFont="1" applyBorder="1"/>
    <xf numFmtId="9" fontId="0" fillId="0" borderId="2" xfId="2" applyNumberFormat="1" applyFont="1" applyBorder="1"/>
    <xf numFmtId="164" fontId="3" fillId="0" borderId="2" xfId="1" applyNumberFormat="1" applyFont="1" applyBorder="1"/>
    <xf numFmtId="164" fontId="0" fillId="0" borderId="2" xfId="1" applyNumberFormat="1" applyFont="1" applyBorder="1" applyAlignment="1">
      <alignment wrapText="1"/>
    </xf>
    <xf numFmtId="164" fontId="0" fillId="0" borderId="3" xfId="1" applyNumberFormat="1" applyFont="1" applyBorder="1" applyAlignment="1">
      <alignment wrapText="1"/>
    </xf>
    <xf numFmtId="164" fontId="0" fillId="0" borderId="4" xfId="1" applyNumberFormat="1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6">
    <dxf>
      <font>
        <b/>
        <charset val="204"/>
      </font>
      <numFmt numFmtId="16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$&quot;* #,##0.00_-;\-&quot;$&quot;* #,##0.00_-;_-&quot;$&quot;* &quot;-&quot;??_-;_-@_-"/>
    </dxf>
    <dxf>
      <font>
        <b/>
        <charset val="204"/>
      </font>
      <numFmt numFmtId="164" formatCode="_-&quot;$&quot;* #,##0.00_-;\-&quot;$&quot;* #,##0.00_-;_-&quot;$&quot;* &quot;-&quot;??_-;_-@_-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90FA64-1544-4305-B6DB-0599911C81C1}" name="Table1" displayName="Table1" ref="A2:M8" totalsRowShown="0" headerRowDxfId="5">
  <autoFilter ref="A2:M8" xr:uid="{D590FA64-1544-4305-B6DB-0599911C81C1}"/>
  <tableColumns count="13">
    <tableColumn id="14" xr3:uid="{6F9AB490-DE80-48A7-974D-1A3976385C46}" name="Description" dataCellStyle="Currency"/>
    <tableColumn id="9" xr3:uid="{8A1E77DC-0D97-47F5-B5A6-A43C6D4FB94E}" name="Downpayment ($)" dataCellStyle="Currency"/>
    <tableColumn id="1" xr3:uid="{EF5E3D03-C1DE-4C0B-A67E-CEE82A81AC09}" name="Monthly Payment ($)" dataCellStyle="Currency"/>
    <tableColumn id="2" xr3:uid="{EC6CA0BB-5595-49D2-9E42-70664607FF40}" name="Bi-weekly Payment ($)" dataCellStyle="Currency"/>
    <tableColumn id="3" xr3:uid="{587D2119-5273-46F1-AB4C-3B160813873D}" name="Weekly Payment ($)" dataCellStyle="Currency"/>
    <tableColumn id="10" xr3:uid="{FD7409AD-130D-4CE2-8FFB-65263C431F6B}" name="Last Payment ($)" dataCellStyle="Currency">
      <calculatedColumnFormula>24907.2+300</calculatedColumnFormula>
    </tableColumn>
    <tableColumn id="4" xr3:uid="{B4CB746E-8D85-4FC9-AB1E-AD86BFBEF42A}" name="Interest (%)" dataDxfId="4" dataCellStyle="Percent"/>
    <tableColumn id="5" xr3:uid="{AB7C2C46-2156-4D29-B05F-4433B8EF86A4}" name="Term (Years)"/>
    <tableColumn id="11" xr3:uid="{95182B92-0843-45DE-B814-AABBAA22B706}" name="# of Payments" dataDxfId="3">
      <calculatedColumnFormula>ROUND(IF(ISBLANK(Table1[[#This Row],[Monthly Payment ($)]]),IF(ISBLANK(Table1[[#This Row],[Bi-weekly Payment ($)]]),Table1[[#This Row],[Term (Years)]]*52,Table1[[#This Row],[Term (Years)]]*26),Table1[[#This Row],[Term (Years)]]*12),0)</calculatedColumnFormula>
    </tableColumn>
    <tableColumn id="6" xr3:uid="{4274E8FD-BE52-4186-82A8-11BAA3F8D9E4}" name="Price Paid ($)" dataDxfId="2" dataCellStyle="Currency">
      <calculatedColumnFormula>IF(ISBLANK(Table1[[#This Row],[Monthly Payment ($)]]),IF(ISBLANK(Table1[[#This Row],[Bi-weekly Payment ($)]]),IF(ISBLANK(Table1[[#This Row],[Weekly Payment ($)]]),0,Table1[[#This Row],[Weekly Payment ($)]]*Table1[[#This Row],['# of Payments]]),Table1[[#This Row],[Bi-weekly Payment ($)]]*Table1[[#This Row],['# of Payments]]),Table1[[#This Row],[Monthly Payment ($)]]*Table1[[#This Row],['# of Payments]])+IF(ISBLANK(Table1[[#This Row],[Downpayment ($)]]),0,Table1[[#This Row],[Downpayment ($)]])+IF(ISBLANK(Table1[[#This Row],[Last Payment ($)]]),0,Table1[[#This Row],[Last Payment ($)]])</calculatedColumnFormula>
    </tableColumn>
    <tableColumn id="12" xr3:uid="{5CD386C6-CD39-4F10-8034-6DF6DF2F76C3}" name="List Price ($)" dataCellStyle="Currency"/>
    <tableColumn id="13" xr3:uid="{ECFCFC07-1BBE-40D5-B357-56011C56201F}" name="Taxes ($)" dataDxfId="1" dataCellStyle="Currency">
      <calculatedColumnFormula>Table1[[#This Row],[List Price ($)]]*0.15</calculatedColumnFormula>
    </tableColumn>
    <tableColumn id="7" xr3:uid="{A2EE3F27-7C20-4D65-98F6-9C0BF9872D53}" name="Total Interest ($)" dataDxfId="0" dataCellStyle="Currency">
      <calculatedColumnFormula>IF(ISBLANK(Table1[[#This Row],[List Price ($)]]),"",Table1[[#This Row],[Price Paid ($)]]-Table1[[#This Row],[List Price ($)]]-Table1[[#This Row],[Taxes ($)]])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8A18-3BC3-4952-8647-12A3462E690E}">
  <sheetPr codeName="Sheet1"/>
  <dimension ref="A1:M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38.5546875" customWidth="1"/>
    <col min="2" max="2" width="14.21875" customWidth="1"/>
    <col min="3" max="6" width="11.109375" customWidth="1"/>
    <col min="7" max="7" width="9" customWidth="1"/>
    <col min="8" max="8" width="8.21875" customWidth="1"/>
    <col min="9" max="9" width="9.33203125" style="7" customWidth="1"/>
    <col min="10" max="10" width="16.44140625" customWidth="1"/>
    <col min="11" max="12" width="14.109375" customWidth="1"/>
    <col min="13" max="13" width="12.21875" customWidth="1"/>
  </cols>
  <sheetData>
    <row r="1" spans="1:13" s="3" customFormat="1" ht="43.2" x14ac:dyDescent="0.3">
      <c r="A1" s="3" t="s">
        <v>14</v>
      </c>
      <c r="B1" s="3" t="s">
        <v>15</v>
      </c>
      <c r="C1" s="11" t="s">
        <v>13</v>
      </c>
      <c r="D1" s="11"/>
      <c r="E1" s="11"/>
      <c r="F1" s="3" t="s">
        <v>16</v>
      </c>
      <c r="G1" s="3" t="s">
        <v>17</v>
      </c>
      <c r="I1" s="9"/>
      <c r="J1" s="3" t="s">
        <v>24</v>
      </c>
      <c r="K1" s="3" t="s">
        <v>18</v>
      </c>
      <c r="L1" s="3" t="s">
        <v>19</v>
      </c>
      <c r="M1" s="3" t="s">
        <v>25</v>
      </c>
    </row>
    <row r="2" spans="1:13" s="4" customFormat="1" ht="28.8" x14ac:dyDescent="0.3">
      <c r="A2" s="10" t="s">
        <v>12</v>
      </c>
      <c r="B2" s="8" t="s">
        <v>7</v>
      </c>
      <c r="C2" s="8" t="s">
        <v>2</v>
      </c>
      <c r="D2" s="8" t="s">
        <v>4</v>
      </c>
      <c r="E2" s="8" t="s">
        <v>3</v>
      </c>
      <c r="F2" s="8" t="s">
        <v>8</v>
      </c>
      <c r="G2" s="4" t="s">
        <v>1</v>
      </c>
      <c r="H2" s="8" t="s">
        <v>0</v>
      </c>
      <c r="I2" s="4" t="s">
        <v>9</v>
      </c>
      <c r="J2" s="5" t="s">
        <v>10</v>
      </c>
      <c r="K2" s="4" t="s">
        <v>6</v>
      </c>
      <c r="L2" s="4" t="s">
        <v>11</v>
      </c>
      <c r="M2" s="4" t="s">
        <v>5</v>
      </c>
    </row>
    <row r="3" spans="1:13" x14ac:dyDescent="0.3">
      <c r="A3" s="2" t="s">
        <v>21</v>
      </c>
      <c r="B3" s="2">
        <v>92.6</v>
      </c>
      <c r="C3" s="2"/>
      <c r="D3" s="2">
        <v>496.93</v>
      </c>
      <c r="E3" s="2"/>
      <c r="F3" s="2"/>
      <c r="G3" s="1"/>
      <c r="H3">
        <v>6</v>
      </c>
      <c r="I3">
        <f>ROUND(IF(ISBLANK(Table1[[#This Row],[Monthly Payment ($)]]),IF(ISBLANK(Table1[[#This Row],[Bi-weekly Payment ($)]]),Table1[[#This Row],[Term (Years)]]*52,Table1[[#This Row],[Term (Years)]]*26),Table1[[#This Row],[Term (Years)]]*12),0)</f>
        <v>156</v>
      </c>
      <c r="J3" s="6">
        <f>IF(ISBLANK(Table1[[#This Row],[Monthly Payment ($)]]),IF(ISBLANK(Table1[[#This Row],[Bi-weekly Payment ($)]]),IF(ISBLANK(Table1[[#This Row],[Weekly Payment ($)]]),0,Table1[[#This Row],[Weekly Payment ($)]]*Table1[[#This Row],['# of Payments]]),Table1[[#This Row],[Bi-weekly Payment ($)]]*Table1[[#This Row],['# of Payments]]),Table1[[#This Row],[Monthly Payment ($)]]*Table1[[#This Row],['# of Payments]])+IF(ISBLANK(Table1[[#This Row],[Downpayment ($)]]),0,Table1[[#This Row],[Downpayment ($)]])+IF(ISBLANK(Table1[[#This Row],[Last Payment ($)]]),0,Table1[[#This Row],[Last Payment ($)]])</f>
        <v>77613.680000000008</v>
      </c>
      <c r="K3" s="2">
        <v>54999.5</v>
      </c>
      <c r="L3" s="2">
        <f>Table1[[#This Row],[List Price ($)]]*0.15</f>
        <v>8249.9249999999993</v>
      </c>
      <c r="M3" s="6">
        <f>IF(ISBLANK(Table1[[#This Row],[List Price ($)]]),"",Table1[[#This Row],[Price Paid ($)]]-Table1[[#This Row],[List Price ($)]]-Table1[[#This Row],[Taxes ($)]])</f>
        <v>14364.255000000008</v>
      </c>
    </row>
    <row r="4" spans="1:13" x14ac:dyDescent="0.3">
      <c r="A4" s="2" t="s">
        <v>20</v>
      </c>
      <c r="B4" s="2">
        <v>285.73</v>
      </c>
      <c r="C4" s="2"/>
      <c r="D4" s="2"/>
      <c r="E4" s="2">
        <v>211.74</v>
      </c>
      <c r="F4" s="2">
        <f t="shared" ref="F4" si="0">24907.2+300</f>
        <v>25207.200000000001</v>
      </c>
      <c r="G4" s="1"/>
      <c r="H4">
        <v>5</v>
      </c>
      <c r="I4">
        <f>ROUND(IF(ISBLANK(Table1[[#This Row],[Monthly Payment ($)]]),IF(ISBLANK(Table1[[#This Row],[Bi-weekly Payment ($)]]),Table1[[#This Row],[Term (Years)]]*52,Table1[[#This Row],[Term (Years)]]*26),Table1[[#This Row],[Term (Years)]]*12),0)</f>
        <v>260</v>
      </c>
      <c r="J4" s="6">
        <f>IF(ISBLANK(Table1[[#This Row],[Monthly Payment ($)]]),IF(ISBLANK(Table1[[#This Row],[Bi-weekly Payment ($)]]),IF(ISBLANK(Table1[[#This Row],[Weekly Payment ($)]]),0,Table1[[#This Row],[Weekly Payment ($)]]*Table1[[#This Row],['# of Payments]]),Table1[[#This Row],[Bi-weekly Payment ($)]]*Table1[[#This Row],['# of Payments]]),Table1[[#This Row],[Monthly Payment ($)]]*Table1[[#This Row],['# of Payments]])+IF(ISBLANK(Table1[[#This Row],[Downpayment ($)]]),0,Table1[[#This Row],[Downpayment ($)]])+IF(ISBLANK(Table1[[#This Row],[Last Payment ($)]]),0,Table1[[#This Row],[Last Payment ($)]])</f>
        <v>80545.33</v>
      </c>
      <c r="K4" s="2">
        <v>54999.5</v>
      </c>
      <c r="L4" s="2">
        <f>Table1[[#This Row],[List Price ($)]]*0.15</f>
        <v>8249.9249999999993</v>
      </c>
      <c r="M4" s="6">
        <f>IF(ISBLANK(Table1[[#This Row],[List Price ($)]]),"",Table1[[#This Row],[Price Paid ($)]]-Table1[[#This Row],[List Price ($)]]-Table1[[#This Row],[Taxes ($)]])</f>
        <v>17295.905000000002</v>
      </c>
    </row>
    <row r="5" spans="1:13" x14ac:dyDescent="0.3">
      <c r="A5" s="2" t="s">
        <v>23</v>
      </c>
      <c r="B5" s="2">
        <v>92.6</v>
      </c>
      <c r="C5" s="2"/>
      <c r="D5" s="2">
        <v>234.82</v>
      </c>
      <c r="E5" s="2"/>
      <c r="F5" s="2"/>
      <c r="G5" s="1"/>
      <c r="H5">
        <v>6</v>
      </c>
      <c r="I5">
        <f>ROUND(IF(ISBLANK(Table1[[#This Row],[Monthly Payment ($)]]),IF(ISBLANK(Table1[[#This Row],[Bi-weekly Payment ($)]]),Table1[[#This Row],[Term (Years)]]*52,Table1[[#This Row],[Term (Years)]]*26),Table1[[#This Row],[Term (Years)]]*12),0)</f>
        <v>156</v>
      </c>
      <c r="J5" s="6">
        <f>IF(ISBLANK(Table1[[#This Row],[Monthly Payment ($)]]),IF(ISBLANK(Table1[[#This Row],[Bi-weekly Payment ($)]]),IF(ISBLANK(Table1[[#This Row],[Weekly Payment ($)]]),0,Table1[[#This Row],[Weekly Payment ($)]]*Table1[[#This Row],['# of Payments]]),Table1[[#This Row],[Bi-weekly Payment ($)]]*Table1[[#This Row],['# of Payments]]),Table1[[#This Row],[Monthly Payment ($)]]*Table1[[#This Row],['# of Payments]])+IF(ISBLANK(Table1[[#This Row],[Downpayment ($)]]),0,Table1[[#This Row],[Downpayment ($)]])+IF(ISBLANK(Table1[[#This Row],[Last Payment ($)]]),0,Table1[[#This Row],[Last Payment ($)]])</f>
        <v>36724.519999999997</v>
      </c>
      <c r="K5" s="2">
        <v>25989.5</v>
      </c>
      <c r="L5" s="2">
        <f>Table1[[#This Row],[List Price ($)]]*0.15</f>
        <v>3898.4249999999997</v>
      </c>
      <c r="M5" s="6">
        <f>IF(ISBLANK(Table1[[#This Row],[List Price ($)]]),"",Table1[[#This Row],[Price Paid ($)]]-Table1[[#This Row],[List Price ($)]]-Table1[[#This Row],[Taxes ($)]])</f>
        <v>6836.5949999999975</v>
      </c>
    </row>
    <row r="6" spans="1:13" x14ac:dyDescent="0.3">
      <c r="A6" s="2" t="s">
        <v>22</v>
      </c>
      <c r="B6" s="2">
        <v>172.21</v>
      </c>
      <c r="C6" s="2"/>
      <c r="D6" s="2"/>
      <c r="E6" s="2">
        <v>98.22</v>
      </c>
      <c r="F6" s="2">
        <v>10603</v>
      </c>
      <c r="G6" s="1"/>
      <c r="H6">
        <v>5</v>
      </c>
      <c r="I6">
        <f>ROUND(IF(ISBLANK(Table1[[#This Row],[Monthly Payment ($)]]),IF(ISBLANK(Table1[[#This Row],[Bi-weekly Payment ($)]]),Table1[[#This Row],[Term (Years)]]*52,Table1[[#This Row],[Term (Years)]]*26),Table1[[#This Row],[Term (Years)]]*12),0)</f>
        <v>260</v>
      </c>
      <c r="J6" s="6">
        <f>IF(ISBLANK(Table1[[#This Row],[Monthly Payment ($)]]),IF(ISBLANK(Table1[[#This Row],[Bi-weekly Payment ($)]]),IF(ISBLANK(Table1[[#This Row],[Weekly Payment ($)]]),0,Table1[[#This Row],[Weekly Payment ($)]]*Table1[[#This Row],['# of Payments]]),Table1[[#This Row],[Bi-weekly Payment ($)]]*Table1[[#This Row],['# of Payments]]),Table1[[#This Row],[Monthly Payment ($)]]*Table1[[#This Row],['# of Payments]])+IF(ISBLANK(Table1[[#This Row],[Downpayment ($)]]),0,Table1[[#This Row],[Downpayment ($)]])+IF(ISBLANK(Table1[[#This Row],[Last Payment ($)]]),0,Table1[[#This Row],[Last Payment ($)]])</f>
        <v>36312.410000000003</v>
      </c>
      <c r="K6" s="2">
        <v>25989.5</v>
      </c>
      <c r="L6" s="2">
        <f>Table1[[#This Row],[List Price ($)]]*0.15</f>
        <v>3898.4249999999997</v>
      </c>
      <c r="M6" s="6">
        <f>IF(ISBLANK(Table1[[#This Row],[List Price ($)]]),"",Table1[[#This Row],[Price Paid ($)]]-Table1[[#This Row],[List Price ($)]]-Table1[[#This Row],[Taxes ($)]])</f>
        <v>6424.4850000000042</v>
      </c>
    </row>
    <row r="7" spans="1:13" x14ac:dyDescent="0.3">
      <c r="A7" s="2" t="s">
        <v>23</v>
      </c>
      <c r="B7" s="2">
        <v>92.6</v>
      </c>
      <c r="C7" s="2">
        <v>509.42</v>
      </c>
      <c r="D7" s="2"/>
      <c r="E7" s="2"/>
      <c r="F7" s="2"/>
      <c r="G7" s="1"/>
      <c r="H7">
        <v>6</v>
      </c>
      <c r="I7">
        <f>ROUND(IF(ISBLANK(Table1[[#This Row],[Monthly Payment ($)]]),IF(ISBLANK(Table1[[#This Row],[Bi-weekly Payment ($)]]),Table1[[#This Row],[Term (Years)]]*52,Table1[[#This Row],[Term (Years)]]*26),Table1[[#This Row],[Term (Years)]]*12),0)</f>
        <v>72</v>
      </c>
      <c r="J7" s="6">
        <f>IF(ISBLANK(Table1[[#This Row],[Monthly Payment ($)]]),IF(ISBLANK(Table1[[#This Row],[Bi-weekly Payment ($)]]),IF(ISBLANK(Table1[[#This Row],[Weekly Payment ($)]]),0,Table1[[#This Row],[Weekly Payment ($)]]*Table1[[#This Row],['# of Payments]]),Table1[[#This Row],[Bi-weekly Payment ($)]]*Table1[[#This Row],['# of Payments]]),Table1[[#This Row],[Monthly Payment ($)]]*Table1[[#This Row],['# of Payments]])+IF(ISBLANK(Table1[[#This Row],[Downpayment ($)]]),0,Table1[[#This Row],[Downpayment ($)]])+IF(ISBLANK(Table1[[#This Row],[Last Payment ($)]]),0,Table1[[#This Row],[Last Payment ($)]])</f>
        <v>36770.839999999997</v>
      </c>
      <c r="K7" s="2">
        <v>25989.5</v>
      </c>
      <c r="L7" s="2">
        <f>Table1[[#This Row],[List Price ($)]]*0.15</f>
        <v>3898.4249999999997</v>
      </c>
      <c r="M7" s="6">
        <f>IF(ISBLANK(Table1[[#This Row],[List Price ($)]]),"",Table1[[#This Row],[Price Paid ($)]]-Table1[[#This Row],[List Price ($)]]-Table1[[#This Row],[Taxes ($)]])</f>
        <v>6882.9149999999972</v>
      </c>
    </row>
    <row r="8" spans="1:13" x14ac:dyDescent="0.3">
      <c r="A8" s="2" t="s">
        <v>23</v>
      </c>
      <c r="B8" s="2">
        <f>5000+92.6</f>
        <v>5092.6000000000004</v>
      </c>
      <c r="C8" s="2">
        <v>424.19</v>
      </c>
      <c r="D8" s="2"/>
      <c r="E8" s="2"/>
      <c r="F8" s="2"/>
      <c r="G8" s="1"/>
      <c r="H8">
        <v>6</v>
      </c>
      <c r="I8">
        <f>ROUND(IF(ISBLANK(Table1[[#This Row],[Monthly Payment ($)]]),IF(ISBLANK(Table1[[#This Row],[Bi-weekly Payment ($)]]),Table1[[#This Row],[Term (Years)]]*52,Table1[[#This Row],[Term (Years)]]*26),Table1[[#This Row],[Term (Years)]]*12),0)</f>
        <v>72</v>
      </c>
      <c r="J8" s="6">
        <f>IF(ISBLANK(Table1[[#This Row],[Monthly Payment ($)]]),IF(ISBLANK(Table1[[#This Row],[Bi-weekly Payment ($)]]),IF(ISBLANK(Table1[[#This Row],[Weekly Payment ($)]]),0,Table1[[#This Row],[Weekly Payment ($)]]*Table1[[#This Row],['# of Payments]]),Table1[[#This Row],[Bi-weekly Payment ($)]]*Table1[[#This Row],['# of Payments]]),Table1[[#This Row],[Monthly Payment ($)]]*Table1[[#This Row],['# of Payments]])+IF(ISBLANK(Table1[[#This Row],[Downpayment ($)]]),0,Table1[[#This Row],[Downpayment ($)]])+IF(ISBLANK(Table1[[#This Row],[Last Payment ($)]]),0,Table1[[#This Row],[Last Payment ($)]])</f>
        <v>35634.28</v>
      </c>
      <c r="K8" s="2">
        <v>25989.5</v>
      </c>
      <c r="L8" s="2">
        <f>Table1[[#This Row],[List Price ($)]]*0.15</f>
        <v>3898.4249999999997</v>
      </c>
      <c r="M8" s="6">
        <f>IF(ISBLANK(Table1[[#This Row],[List Price ($)]]),"",Table1[[#This Row],[Price Paid ($)]]-Table1[[#This Row],[List Price ($)]]-Table1[[#This Row],[Taxes ($)]])</f>
        <v>5746.3549999999996</v>
      </c>
    </row>
  </sheetData>
  <mergeCells count="1">
    <mergeCell ref="C1:E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0776-334E-44B8-AD2C-803F79782861}">
  <dimension ref="A1:Q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3"/>
  <cols>
    <col min="1" max="1" width="19.21875" bestFit="1" customWidth="1"/>
    <col min="2" max="6" width="12.44140625" customWidth="1"/>
    <col min="7" max="7" width="12.44140625" style="7" customWidth="1"/>
    <col min="8" max="17" width="12.44140625" customWidth="1"/>
  </cols>
  <sheetData>
    <row r="1" spans="1:17" s="3" customFormat="1" ht="43.2" x14ac:dyDescent="0.3">
      <c r="A1" s="14" t="s">
        <v>12</v>
      </c>
      <c r="B1" s="20" t="s">
        <v>26</v>
      </c>
      <c r="C1" s="19" t="s">
        <v>27</v>
      </c>
      <c r="D1" s="21" t="s">
        <v>23</v>
      </c>
      <c r="E1" s="21" t="s">
        <v>22</v>
      </c>
      <c r="F1" s="21" t="s">
        <v>23</v>
      </c>
      <c r="G1" s="19" t="s">
        <v>23</v>
      </c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4.4" customHeight="1" x14ac:dyDescent="0.3">
      <c r="A2" s="15" t="s">
        <v>7</v>
      </c>
      <c r="B2" s="16">
        <v>92.6</v>
      </c>
      <c r="C2" s="16">
        <v>285.73</v>
      </c>
      <c r="D2" s="16">
        <v>92.6</v>
      </c>
      <c r="E2" s="16">
        <v>172.21</v>
      </c>
      <c r="F2" s="16">
        <v>92.6</v>
      </c>
      <c r="G2" s="16">
        <f>5000+92.6</f>
        <v>5092.6000000000004</v>
      </c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4.4" customHeight="1" x14ac:dyDescent="0.3">
      <c r="A3" s="15" t="s">
        <v>2</v>
      </c>
      <c r="B3" s="16"/>
      <c r="C3" s="16"/>
      <c r="D3" s="16"/>
      <c r="E3" s="16"/>
      <c r="F3" s="16">
        <v>509.42</v>
      </c>
      <c r="G3" s="16">
        <v>424.19</v>
      </c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8.8" x14ac:dyDescent="0.3">
      <c r="A4" s="15" t="s">
        <v>4</v>
      </c>
      <c r="B4" s="16">
        <v>496.93</v>
      </c>
      <c r="C4" s="16"/>
      <c r="D4" s="16">
        <v>234.82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3">
      <c r="A5" s="15" t="s">
        <v>3</v>
      </c>
      <c r="B5" s="16"/>
      <c r="C5" s="16">
        <v>211.74</v>
      </c>
      <c r="D5" s="16"/>
      <c r="E5" s="16">
        <v>98.22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4.4" customHeight="1" x14ac:dyDescent="0.3">
      <c r="A6" s="15" t="s">
        <v>8</v>
      </c>
      <c r="B6" s="16"/>
      <c r="C6" s="16">
        <f>24907.2+300</f>
        <v>25207.200000000001</v>
      </c>
      <c r="D6" s="16"/>
      <c r="E6" s="16">
        <v>10603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3">
      <c r="A7" s="14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x14ac:dyDescent="0.3">
      <c r="A8" s="15" t="s">
        <v>0</v>
      </c>
      <c r="B8" s="12">
        <v>6</v>
      </c>
      <c r="C8" s="12">
        <v>5</v>
      </c>
      <c r="D8" s="12">
        <v>6</v>
      </c>
      <c r="E8" s="12">
        <v>5</v>
      </c>
      <c r="F8" s="12">
        <v>6</v>
      </c>
      <c r="G8" s="12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s="13" customFormat="1" x14ac:dyDescent="0.3">
      <c r="A9" s="14" t="s">
        <v>9</v>
      </c>
      <c r="B9" s="12">
        <f t="shared" ref="B9:I9" si="0">ROUND(IF(ISBLANK(B3),IF(ISBLANK(B4),B8*52,B8*26),B8*12),0)</f>
        <v>156</v>
      </c>
      <c r="C9" s="12">
        <f t="shared" si="0"/>
        <v>260</v>
      </c>
      <c r="D9" s="12">
        <f t="shared" si="0"/>
        <v>156</v>
      </c>
      <c r="E9" s="12">
        <f t="shared" si="0"/>
        <v>260</v>
      </c>
      <c r="F9" s="12">
        <f t="shared" si="0"/>
        <v>72</v>
      </c>
      <c r="G9" s="12">
        <f t="shared" si="0"/>
        <v>72</v>
      </c>
      <c r="H9" s="12">
        <f t="shared" si="0"/>
        <v>0</v>
      </c>
      <c r="I9" s="12">
        <f t="shared" si="0"/>
        <v>0</v>
      </c>
      <c r="J9" s="12">
        <f t="shared" ref="J9" si="1">ROUND(IF(ISBLANK(J3),IF(ISBLANK(J4),J8*52,J8*26),J8*12),0)</f>
        <v>0</v>
      </c>
      <c r="K9" s="12">
        <f t="shared" ref="K9" si="2">ROUND(IF(ISBLANK(K3),IF(ISBLANK(K4),K8*52,K8*26),K8*12),0)</f>
        <v>0</v>
      </c>
      <c r="L9" s="12">
        <f t="shared" ref="L9" si="3">ROUND(IF(ISBLANK(L3),IF(ISBLANK(L4),L8*52,L8*26),L8*12),0)</f>
        <v>0</v>
      </c>
      <c r="M9" s="12">
        <f t="shared" ref="M9" si="4">ROUND(IF(ISBLANK(M3),IF(ISBLANK(M4),M8*52,M8*26),M8*12),0)</f>
        <v>0</v>
      </c>
      <c r="N9" s="12">
        <f t="shared" ref="N9" si="5">ROUND(IF(ISBLANK(N3),IF(ISBLANK(N4),N8*52,N8*26),N8*12),0)</f>
        <v>0</v>
      </c>
      <c r="O9" s="12">
        <f t="shared" ref="O9" si="6">ROUND(IF(ISBLANK(O3),IF(ISBLANK(O4),O8*52,O8*26),O8*12),0)</f>
        <v>0</v>
      </c>
      <c r="P9" s="12">
        <f t="shared" ref="P9" si="7">ROUND(IF(ISBLANK(P3),IF(ISBLANK(P4),P8*52,P8*26),P8*12),0)</f>
        <v>0</v>
      </c>
      <c r="Q9" s="12">
        <f t="shared" ref="Q9" si="8">ROUND(IF(ISBLANK(Q3),IF(ISBLANK(Q4),Q8*52,Q8*26),Q8*12),0)</f>
        <v>0</v>
      </c>
    </row>
    <row r="10" spans="1:17" ht="14.4" customHeight="1" x14ac:dyDescent="0.3">
      <c r="A10" s="14" t="s">
        <v>10</v>
      </c>
      <c r="B10" s="18">
        <f t="shared" ref="B10:I10" si="9">IF(ISBLANK(B3),IF(ISBLANK(B4),IF(ISBLANK(B5),0,B5*B9),B4*B9),B3*B9)+IF(ISBLANK(B2),0,B2)+IF(ISBLANK(B6),0,B6)</f>
        <v>77613.680000000008</v>
      </c>
      <c r="C10" s="18">
        <f t="shared" si="9"/>
        <v>80545.33</v>
      </c>
      <c r="D10" s="18">
        <f t="shared" si="9"/>
        <v>36724.519999999997</v>
      </c>
      <c r="E10" s="18">
        <f t="shared" si="9"/>
        <v>36312.410000000003</v>
      </c>
      <c r="F10" s="18">
        <f t="shared" si="9"/>
        <v>36770.839999999997</v>
      </c>
      <c r="G10" s="18">
        <f t="shared" si="9"/>
        <v>35634.28</v>
      </c>
      <c r="H10" s="18">
        <f t="shared" si="9"/>
        <v>0</v>
      </c>
      <c r="I10" s="18">
        <f t="shared" si="9"/>
        <v>0</v>
      </c>
      <c r="J10" s="18">
        <f t="shared" ref="J10" si="10">IF(ISBLANK(J3),IF(ISBLANK(J4),IF(ISBLANK(J5),0,J5*J9),J4*J9),J3*J9)+IF(ISBLANK(J2),0,J2)+IF(ISBLANK(J6),0,J6)</f>
        <v>0</v>
      </c>
      <c r="K10" s="18">
        <f t="shared" ref="K10" si="11">IF(ISBLANK(K3),IF(ISBLANK(K4),IF(ISBLANK(K5),0,K5*K9),K4*K9),K3*K9)+IF(ISBLANK(K2),0,K2)+IF(ISBLANK(K6),0,K6)</f>
        <v>0</v>
      </c>
      <c r="L10" s="18">
        <f t="shared" ref="L10" si="12">IF(ISBLANK(L3),IF(ISBLANK(L4),IF(ISBLANK(L5),0,L5*L9),L4*L9),L3*L9)+IF(ISBLANK(L2),0,L2)+IF(ISBLANK(L6),0,L6)</f>
        <v>0</v>
      </c>
      <c r="M10" s="18">
        <f t="shared" ref="M10" si="13">IF(ISBLANK(M3),IF(ISBLANK(M4),IF(ISBLANK(M5),0,M5*M9),M4*M9),M3*M9)+IF(ISBLANK(M2),0,M2)+IF(ISBLANK(M6),0,M6)</f>
        <v>0</v>
      </c>
      <c r="N10" s="18">
        <f t="shared" ref="N10" si="14">IF(ISBLANK(N3),IF(ISBLANK(N4),IF(ISBLANK(N5),0,N5*N9),N4*N9),N3*N9)+IF(ISBLANK(N2),0,N2)+IF(ISBLANK(N6),0,N6)</f>
        <v>0</v>
      </c>
      <c r="O10" s="18">
        <f t="shared" ref="O10" si="15">IF(ISBLANK(O3),IF(ISBLANK(O4),IF(ISBLANK(O5),0,O5*O9),O4*O9),O3*O9)+IF(ISBLANK(O2),0,O2)+IF(ISBLANK(O6),0,O6)</f>
        <v>0</v>
      </c>
      <c r="P10" s="18">
        <f t="shared" ref="P10" si="16">IF(ISBLANK(P3),IF(ISBLANK(P4),IF(ISBLANK(P5),0,P5*P9),P4*P9),P3*P9)+IF(ISBLANK(P2),0,P2)+IF(ISBLANK(P6),0,P6)</f>
        <v>0</v>
      </c>
      <c r="Q10" s="18">
        <f t="shared" ref="Q10" si="17">IF(ISBLANK(Q3),IF(ISBLANK(Q4),IF(ISBLANK(Q5),0,Q5*Q9),Q4*Q9),Q3*Q9)+IF(ISBLANK(Q2),0,Q2)+IF(ISBLANK(Q6),0,Q6)</f>
        <v>0</v>
      </c>
    </row>
    <row r="11" spans="1:17" x14ac:dyDescent="0.3">
      <c r="A11" s="14" t="s">
        <v>6</v>
      </c>
      <c r="B11" s="16">
        <v>54999.5</v>
      </c>
      <c r="C11" s="16">
        <v>54999.5</v>
      </c>
      <c r="D11" s="16">
        <v>25989.5</v>
      </c>
      <c r="E11" s="16">
        <v>25989.5</v>
      </c>
      <c r="F11" s="16">
        <v>25989.5</v>
      </c>
      <c r="G11" s="16">
        <v>25989.5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4.4" customHeight="1" x14ac:dyDescent="0.3">
      <c r="A12" s="14" t="s">
        <v>11</v>
      </c>
      <c r="B12" s="16">
        <f>B11*0.15</f>
        <v>8249.9249999999993</v>
      </c>
      <c r="C12" s="16">
        <f>C11*0.15</f>
        <v>8249.9249999999993</v>
      </c>
      <c r="D12" s="16">
        <f>D11*0.15</f>
        <v>3898.4249999999997</v>
      </c>
      <c r="E12" s="16">
        <f>E11*0.15</f>
        <v>3898.4249999999997</v>
      </c>
      <c r="F12" s="16">
        <f>F11*0.15</f>
        <v>3898.4249999999997</v>
      </c>
      <c r="G12" s="16">
        <f>G11*0.15</f>
        <v>3898.4249999999997</v>
      </c>
      <c r="H12" s="16">
        <f>H11*0.15</f>
        <v>0</v>
      </c>
      <c r="I12" s="16">
        <f>I11*0.15</f>
        <v>0</v>
      </c>
      <c r="J12" s="16">
        <f t="shared" ref="J12:Q12" si="18">J11*0.15</f>
        <v>0</v>
      </c>
      <c r="K12" s="16">
        <f t="shared" si="18"/>
        <v>0</v>
      </c>
      <c r="L12" s="16">
        <f t="shared" si="18"/>
        <v>0</v>
      </c>
      <c r="M12" s="16">
        <f t="shared" si="18"/>
        <v>0</v>
      </c>
      <c r="N12" s="16">
        <f t="shared" si="18"/>
        <v>0</v>
      </c>
      <c r="O12" s="16">
        <f t="shared" si="18"/>
        <v>0</v>
      </c>
      <c r="P12" s="16">
        <f t="shared" si="18"/>
        <v>0</v>
      </c>
      <c r="Q12" s="16">
        <f t="shared" si="18"/>
        <v>0</v>
      </c>
    </row>
    <row r="13" spans="1:17" x14ac:dyDescent="0.3">
      <c r="A13" s="14" t="s">
        <v>5</v>
      </c>
      <c r="B13" s="18">
        <f>IF(ISBLANK(B11),"",B10-B11-B12)</f>
        <v>14364.255000000008</v>
      </c>
      <c r="C13" s="18">
        <f>IF(ISBLANK(C11),"",C10-C11-C12)</f>
        <v>17295.905000000002</v>
      </c>
      <c r="D13" s="18">
        <f>IF(ISBLANK(D11),"",D10-D11-D12)</f>
        <v>6836.5949999999975</v>
      </c>
      <c r="E13" s="18">
        <f>IF(ISBLANK(E11),"",E10-E11-E12)</f>
        <v>6424.4850000000042</v>
      </c>
      <c r="F13" s="18">
        <f>IF(ISBLANK(F11),"",F10-F11-F12)</f>
        <v>6882.9149999999972</v>
      </c>
      <c r="G13" s="18">
        <f>IF(ISBLANK(G11),"",G10-G11-G12)</f>
        <v>5746.3549999999996</v>
      </c>
      <c r="H13" s="18" t="str">
        <f>IF(ISBLANK(H11),"",H10-H11-H12)</f>
        <v/>
      </c>
      <c r="I13" s="18" t="str">
        <f>IF(ISBLANK(I11),"",I10-I11-I12)</f>
        <v/>
      </c>
      <c r="J13" s="18" t="str">
        <f t="shared" ref="J13:Q13" si="19">IF(ISBLANK(J11),"",J10-J11-J12)</f>
        <v/>
      </c>
      <c r="K13" s="18" t="str">
        <f t="shared" si="19"/>
        <v/>
      </c>
      <c r="L13" s="18" t="str">
        <f t="shared" si="19"/>
        <v/>
      </c>
      <c r="M13" s="18" t="str">
        <f t="shared" si="19"/>
        <v/>
      </c>
      <c r="N13" s="18" t="str">
        <f t="shared" si="19"/>
        <v/>
      </c>
      <c r="O13" s="18" t="str">
        <f t="shared" si="19"/>
        <v/>
      </c>
      <c r="P13" s="18" t="str">
        <f t="shared" si="19"/>
        <v/>
      </c>
      <c r="Q13" s="18" t="str">
        <f t="shared" si="19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Laptop</vt:lpstr>
      <vt:lpstr>Mobile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 Overko</dc:creator>
  <cp:lastModifiedBy>Sergei Overko</cp:lastModifiedBy>
  <dcterms:created xsi:type="dcterms:W3CDTF">2023-12-31T19:32:09Z</dcterms:created>
  <dcterms:modified xsi:type="dcterms:W3CDTF">2024-06-16T01:44:16Z</dcterms:modified>
</cp:coreProperties>
</file>